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>
    <definedName name="Dia">'Sheet1'!$F$15</definedName>
    <definedName name="Foc">'Sheet1'!$F$10</definedName>
    <definedName name="Hfoy">'Sheet1'!$F$11</definedName>
    <definedName name="Rpri">'Sheet1'!$G$37</definedName>
    <definedName name="Rsec">'Sheet1'!$G$30</definedName>
    <definedName name="solver_adj" localSheetId="0" hidden="1">'Sheet1'!$G$37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'Sheet1'!$F$41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10</definedName>
    <definedName name="Tlas">'Sheet1'!$G$22</definedName>
    <definedName name="Tpri">'Sheet1'!$F$13</definedName>
    <definedName name="Tsec">'Sheet1'!$F$14</definedName>
  </definedNames>
  <calcPr fullCalcOnLoad="1"/>
</workbook>
</file>

<file path=xl/sharedStrings.xml><?xml version="1.0" encoding="utf-8"?>
<sst xmlns="http://schemas.openxmlformats.org/spreadsheetml/2006/main" count="143" uniqueCount="96">
  <si>
    <t>mm</t>
  </si>
  <si>
    <t>Foc</t>
  </si>
  <si>
    <t>Graphique</t>
  </si>
  <si>
    <t>Hfoy</t>
  </si>
  <si>
    <t>X</t>
  </si>
  <si>
    <t>rad</t>
  </si>
  <si>
    <t>Tsec</t>
  </si>
  <si>
    <t>degrés</t>
  </si>
  <si>
    <t>Tpri</t>
  </si>
  <si>
    <t>Calculs des points et angles selon les réglages</t>
  </si>
  <si>
    <t>-</t>
  </si>
  <si>
    <t>Réglage secondaire</t>
  </si>
  <si>
    <t>Rsec</t>
  </si>
  <si>
    <t>Réglage primaire</t>
  </si>
  <si>
    <t>Rpri</t>
  </si>
  <si>
    <t>Épaisseur primaire</t>
  </si>
  <si>
    <t>Épaisseur secondaire</t>
  </si>
  <si>
    <t>Laser 1</t>
  </si>
  <si>
    <t>Diamètre primaire</t>
  </si>
  <si>
    <t>Simulation des erreurs d'alignement des optiques</t>
  </si>
  <si>
    <t>Cas d'un télescope astronomique de Newton :</t>
  </si>
  <si>
    <t>Alignement à l'aide d'un Laser centré dans le porte oculaire.</t>
  </si>
  <si>
    <t>Miroir primaire parabolique et miroir secondaire plan incliné à 45°.</t>
  </si>
  <si>
    <t>Focale miroir primaire</t>
  </si>
  <si>
    <t>Hauteur du foyer</t>
  </si>
  <si>
    <t>Angle initial secondaire</t>
  </si>
  <si>
    <t>Angle initial du primaire</t>
  </si>
  <si>
    <t>Diamètre miroir secondaire</t>
  </si>
  <si>
    <t>Réglage du secondaire</t>
  </si>
  <si>
    <t>Réglage du primaire</t>
  </si>
  <si>
    <t>mm au primaire</t>
  </si>
  <si>
    <t>Y</t>
  </si>
  <si>
    <t>Point de départ Laser</t>
  </si>
  <si>
    <t>Secondaire</t>
  </si>
  <si>
    <t>Primaire</t>
  </si>
  <si>
    <t>Axes mécaniques</t>
  </si>
  <si>
    <t>Miroir secondaire</t>
  </si>
  <si>
    <t>Miroir primaire</t>
  </si>
  <si>
    <t>Laser 2</t>
  </si>
  <si>
    <t>Laser 3</t>
  </si>
  <si>
    <t>Secondaire réglé</t>
  </si>
  <si>
    <t>Primaire réglé</t>
  </si>
  <si>
    <t>Axes optiques</t>
  </si>
  <si>
    <t>Mécanique</t>
  </si>
  <si>
    <t>Avec un excentrement du Laser de :</t>
  </si>
  <si>
    <t>En réglant le secondaire au Laser à :</t>
  </si>
  <si>
    <t>En réglant le primaire au Laser à :</t>
  </si>
  <si>
    <t>Le foyer se trouve excentré de :</t>
  </si>
  <si>
    <t>mm de l'axe mécanique (positif en haut)</t>
  </si>
  <si>
    <t>degré (positif venant du haut)</t>
  </si>
  <si>
    <t>mm au primaire (positif allant vers le haut)</t>
  </si>
  <si>
    <t>mm (positif en haut)</t>
  </si>
  <si>
    <t>mm du faisceau aller (positif au dessus)</t>
  </si>
  <si>
    <t>L'axe optique est incliné de :</t>
  </si>
  <si>
    <t>Le foyer est déplacé de :</t>
  </si>
  <si>
    <t>mm (positif si rentré dans le tube optique)</t>
  </si>
  <si>
    <t>Résultats</t>
  </si>
  <si>
    <t>Tables pour graphique</t>
  </si>
  <si>
    <t>Soit une rotation de :</t>
  </si>
  <si>
    <t>degré</t>
  </si>
  <si>
    <t>Avec une inclinaison du Laser de :</t>
  </si>
  <si>
    <t>degré (positif lorsque l'axe optique s'éloigne du PO)</t>
  </si>
  <si>
    <t>degré (positif lorsque le haut s'éloigne du PO)</t>
  </si>
  <si>
    <t>Trajet</t>
  </si>
  <si>
    <t>Angle</t>
  </si>
  <si>
    <t>Cas du strock-250</t>
  </si>
  <si>
    <t>Focale</t>
  </si>
  <si>
    <t>Hauteur foyer</t>
  </si>
  <si>
    <t>Paramètres de la configuration</t>
  </si>
  <si>
    <t>Autres paramètres</t>
  </si>
  <si>
    <t>Excentrement du Foyer</t>
  </si>
  <si>
    <t>Avec un Laser incliné de 5 mm au primaire</t>
  </si>
  <si>
    <t xml:space="preserve">Avec un Laser parfait </t>
  </si>
  <si>
    <t>Avec un Laser excentré de 1 mm</t>
  </si>
  <si>
    <t>Avec un Laser excentré de 1 mm et incliné de 5 mm</t>
  </si>
  <si>
    <t>On a considéré que le réglage du secondaire était à mieux que +/-1 mm sur le primaire pour le faisceau aller</t>
  </si>
  <si>
    <t>On a considéré que le réglage du primaire était à mieux que +/-1 mm au foyer pour le faisceau retour</t>
  </si>
  <si>
    <t>On a retenu un Laser fabriqué et serré dans le PO avec moins de 1 mm d'excentrement</t>
  </si>
  <si>
    <t>On a retenu un Laser fabriqué et aligné dans le PO avec moins de 5 mm d'inclinaison au primaire</t>
  </si>
  <si>
    <t>Bilan:</t>
  </si>
  <si>
    <t>Une erreur de 1 mm sur le réglage du secondaire donne un décalage du foyer de 1 mm.</t>
  </si>
  <si>
    <t>Une erreur de 1 mm sur le réglage du primaire donne un décalage du foyer de 0,5 mm.</t>
  </si>
  <si>
    <t>Ce décalage n'est pas corrigé par le réglage du primaire.</t>
  </si>
  <si>
    <t>Une inclinaison du Laser ne conduit qu'à une inclinaison de l'axe optique (d'autant).</t>
  </si>
  <si>
    <t>Un excentrement du Laser ne conduit qu'à un excentrement du foyer (de moitié).</t>
  </si>
  <si>
    <t>Ce décalage peut être corrigé par le réglage du primaire sur une étoile.</t>
  </si>
  <si>
    <t>mm au foyer</t>
  </si>
  <si>
    <t>Étude de l'effet de l'inclinaison et de l'excentrement du faisceau du Laser.</t>
  </si>
  <si>
    <t>Étude de l'effet des erreurs d'alignement du faisceau Laser.</t>
  </si>
  <si>
    <t>Avant réglage</t>
  </si>
  <si>
    <t>Axe optique</t>
  </si>
  <si>
    <t>Retour secondaire</t>
  </si>
  <si>
    <t>Foyer optique</t>
  </si>
  <si>
    <t>Retour plan foyer</t>
  </si>
  <si>
    <t>Effet de la précision de l'alignement des optiques</t>
  </si>
  <si>
    <t>mm au primaire (positif loin du porte oculaire (PO))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</si>
</sst>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"/>
    <numFmt numFmtId="167" formatCode="0.0000000"/>
    <numFmt numFmtId="168" formatCode="0.000000"/>
    <numFmt numFmtId="169" formatCode="0.00000"/>
    <numFmt numFmtId="170" formatCode="0.00000000"/>
  </numFmts>
  <fonts count="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75"/>
      <name val="Arial"/>
      <family val="0"/>
    </font>
    <font>
      <sz val="12"/>
      <name val="Arial"/>
      <family val="0"/>
    </font>
    <font>
      <u val="single"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165" fontId="0" fillId="4" borderId="0" xfId="0" applyNumberFormat="1" applyFill="1" applyAlignment="1">
      <alignment/>
    </xf>
    <xf numFmtId="1" fontId="0" fillId="4" borderId="1" xfId="0" applyNumberFormat="1" applyFill="1" applyBorder="1" applyAlignment="1">
      <alignment/>
    </xf>
    <xf numFmtId="1" fontId="0" fillId="3" borderId="0" xfId="0" applyNumberFormat="1" applyFill="1" applyAlignment="1">
      <alignment/>
    </xf>
    <xf numFmtId="1" fontId="0" fillId="4" borderId="2" xfId="0" applyNumberFormat="1" applyFill="1" applyBorder="1" applyAlignment="1">
      <alignment/>
    </xf>
    <xf numFmtId="1" fontId="0" fillId="4" borderId="3" xfId="0" applyNumberFormat="1" applyFill="1" applyBorder="1" applyAlignment="1">
      <alignment/>
    </xf>
    <xf numFmtId="0" fontId="0" fillId="5" borderId="0" xfId="0" applyFill="1" applyAlignment="1">
      <alignment/>
    </xf>
    <xf numFmtId="164" fontId="0" fillId="6" borderId="0" xfId="0" applyNumberFormat="1" applyFill="1" applyAlignment="1">
      <alignment/>
    </xf>
    <xf numFmtId="0" fontId="3" fillId="3" borderId="0" xfId="0" applyFont="1" applyFill="1" applyAlignment="1">
      <alignment horizontal="center" wrapText="1"/>
    </xf>
    <xf numFmtId="169" fontId="0" fillId="7" borderId="0" xfId="0" applyNumberFormat="1" applyFill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 horizontal="center"/>
    </xf>
    <xf numFmtId="165" fontId="0" fillId="6" borderId="2" xfId="0" applyNumberFormat="1" applyFill="1" applyBorder="1" applyAlignment="1">
      <alignment horizontal="right"/>
    </xf>
    <xf numFmtId="165" fontId="0" fillId="7" borderId="2" xfId="0" applyNumberFormat="1" applyFill="1" applyBorder="1" applyAlignment="1">
      <alignment horizontal="right"/>
    </xf>
    <xf numFmtId="164" fontId="0" fillId="6" borderId="2" xfId="0" applyNumberFormat="1" applyFill="1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6" borderId="2" xfId="0" applyNumberFormat="1" applyFont="1" applyFill="1" applyBorder="1" applyAlignment="1">
      <alignment horizontal="right"/>
    </xf>
    <xf numFmtId="165" fontId="0" fillId="6" borderId="2" xfId="0" applyNumberFormat="1" applyFont="1" applyFill="1" applyBorder="1" applyAlignment="1">
      <alignment horizontal="right"/>
    </xf>
    <xf numFmtId="165" fontId="0" fillId="6" borderId="2" xfId="0" applyNumberFormat="1" applyFill="1" applyBorder="1" applyAlignment="1">
      <alignment/>
    </xf>
    <xf numFmtId="165" fontId="0" fillId="0" borderId="2" xfId="0" applyNumberFormat="1" applyFont="1" applyBorder="1" applyAlignment="1">
      <alignment horizontal="left"/>
    </xf>
    <xf numFmtId="164" fontId="0" fillId="8" borderId="2" xfId="0" applyNumberFormat="1" applyFill="1" applyBorder="1" applyAlignment="1">
      <alignment horizontal="right"/>
    </xf>
    <xf numFmtId="164" fontId="0" fillId="9" borderId="2" xfId="0" applyNumberFormat="1" applyFill="1" applyBorder="1" applyAlignment="1">
      <alignment horizontal="right"/>
    </xf>
    <xf numFmtId="164" fontId="0" fillId="10" borderId="2" xfId="0" applyNumberFormat="1" applyFill="1" applyBorder="1" applyAlignment="1">
      <alignment horizontal="right"/>
    </xf>
    <xf numFmtId="164" fontId="0" fillId="9" borderId="2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Sheet1!$AA$2</c:f>
              <c:strCache>
                <c:ptCount val="1"/>
                <c:pt idx="0">
                  <c:v>Mécanique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Sheet1!$Z$3:$Z$44</c:f>
              <c:numCache/>
            </c:numRef>
          </c:xVal>
          <c:yVal>
            <c:numRef>
              <c:f>Sheet1!$AA$3:$AA$44</c:f>
              <c:numCache/>
            </c:numRef>
          </c:yVal>
          <c:smooth val="0"/>
        </c:ser>
        <c:ser>
          <c:idx val="1"/>
          <c:order val="1"/>
          <c:tx>
            <c:strRef>
              <c:f>Sheet1!$AB$2</c:f>
              <c:strCache>
                <c:ptCount val="1"/>
                <c:pt idx="0">
                  <c:v>Axes mécaniques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Sheet1!$Z$3:$Z$44</c:f>
              <c:numCache/>
            </c:numRef>
          </c:xVal>
          <c:yVal>
            <c:numRef>
              <c:f>Sheet1!$AB$3:$AB$44</c:f>
              <c:numCache/>
            </c:numRef>
          </c:yVal>
          <c:smooth val="0"/>
        </c:ser>
        <c:ser>
          <c:idx val="2"/>
          <c:order val="2"/>
          <c:tx>
            <c:strRef>
              <c:f>Sheet1!$AC$2</c:f>
              <c:strCache>
                <c:ptCount val="1"/>
                <c:pt idx="0">
                  <c:v>Miroir secondaire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Sheet1!$Z$3:$Z$44</c:f>
              <c:numCache/>
            </c:numRef>
          </c:xVal>
          <c:yVal>
            <c:numRef>
              <c:f>Sheet1!$AC$3:$AC$44</c:f>
              <c:numCache/>
            </c:numRef>
          </c:yVal>
          <c:smooth val="0"/>
        </c:ser>
        <c:ser>
          <c:idx val="3"/>
          <c:order val="3"/>
          <c:tx>
            <c:strRef>
              <c:f>Sheet1!$AD$2</c:f>
              <c:strCache>
                <c:ptCount val="1"/>
                <c:pt idx="0">
                  <c:v>Miroir primaire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Sheet1!$Z$3:$Z$44</c:f>
              <c:numCache/>
            </c:numRef>
          </c:xVal>
          <c:yVal>
            <c:numRef>
              <c:f>Sheet1!$AD$3:$AD$44</c:f>
              <c:numCache/>
            </c:numRef>
          </c:yVal>
          <c:smooth val="0"/>
        </c:ser>
        <c:ser>
          <c:idx val="4"/>
          <c:order val="4"/>
          <c:tx>
            <c:strRef>
              <c:f>Sheet1!$AE$2</c:f>
              <c:strCache>
                <c:ptCount val="1"/>
                <c:pt idx="0">
                  <c:v>Laser 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Sheet1!$Z$3:$Z$44</c:f>
              <c:numCache/>
            </c:numRef>
          </c:xVal>
          <c:yVal>
            <c:numRef>
              <c:f>Sheet1!$AE$3:$AE$44</c:f>
              <c:numCache/>
            </c:numRef>
          </c:yVal>
          <c:smooth val="0"/>
        </c:ser>
        <c:ser>
          <c:idx val="5"/>
          <c:order val="5"/>
          <c:tx>
            <c:strRef>
              <c:f>Sheet1!$AF$2</c:f>
              <c:strCache>
                <c:ptCount val="1"/>
                <c:pt idx="0">
                  <c:v>Secondaire réglé</c:v>
                </c:pt>
              </c:strCache>
            </c:strRef>
          </c:tx>
          <c:spPr>
            <a:ln w="25400">
              <a:solidFill>
                <a:srgbClr val="FF9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Sheet1!$Z$3:$Z$44</c:f>
              <c:numCache/>
            </c:numRef>
          </c:xVal>
          <c:yVal>
            <c:numRef>
              <c:f>Sheet1!$AF$3:$AF$44</c:f>
              <c:numCache/>
            </c:numRef>
          </c:yVal>
          <c:smooth val="0"/>
        </c:ser>
        <c:ser>
          <c:idx val="6"/>
          <c:order val="6"/>
          <c:tx>
            <c:strRef>
              <c:f>Sheet1!$AG$2</c:f>
              <c:strCache>
                <c:ptCount val="1"/>
                <c:pt idx="0">
                  <c:v>Laser 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Sheet1!$Z$3:$Z$44</c:f>
              <c:numCache/>
            </c:numRef>
          </c:xVal>
          <c:yVal>
            <c:numRef>
              <c:f>Sheet1!$AG$3:$AG$44</c:f>
              <c:numCache/>
            </c:numRef>
          </c:yVal>
          <c:smooth val="0"/>
        </c:ser>
        <c:ser>
          <c:idx val="7"/>
          <c:order val="7"/>
          <c:tx>
            <c:strRef>
              <c:f>Sheet1!$AH$2</c:f>
              <c:strCache>
                <c:ptCount val="1"/>
                <c:pt idx="0">
                  <c:v>Primaire réglé</c:v>
                </c:pt>
              </c:strCache>
            </c:strRef>
          </c:tx>
          <c:spPr>
            <a:ln w="25400">
              <a:solidFill>
                <a:srgbClr val="FF99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Sheet1!$Z$3:$Z$44</c:f>
              <c:numCache/>
            </c:numRef>
          </c:xVal>
          <c:yVal>
            <c:numRef>
              <c:f>Sheet1!$AH$3:$AH$44</c:f>
              <c:numCache/>
            </c:numRef>
          </c:yVal>
          <c:smooth val="0"/>
        </c:ser>
        <c:ser>
          <c:idx val="8"/>
          <c:order val="8"/>
          <c:tx>
            <c:strRef>
              <c:f>Sheet1!$AI$2</c:f>
              <c:strCache>
                <c:ptCount val="1"/>
                <c:pt idx="0">
                  <c:v>Laser 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3"/>
            <c:spPr>
              <a:ln w="3175">
                <a:noFill/>
              </a:ln>
            </c:spPr>
            <c:marker>
              <c:symbol val="none"/>
            </c:marker>
          </c:dPt>
          <c:dPt>
            <c:idx val="34"/>
            <c:spPr>
              <a:ln w="3175">
                <a:noFill/>
              </a:ln>
            </c:spPr>
            <c:marker>
              <c:symbol val="none"/>
            </c:marker>
          </c:dPt>
          <c:dPt>
            <c:idx val="35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Sheet1!$Z$3:$Z$44</c:f>
              <c:numCache/>
            </c:numRef>
          </c:xVal>
          <c:yVal>
            <c:numRef>
              <c:f>Sheet1!$AI$3:$AI$44</c:f>
              <c:numCache/>
            </c:numRef>
          </c:yVal>
          <c:smooth val="0"/>
        </c:ser>
        <c:ser>
          <c:idx val="9"/>
          <c:order val="9"/>
          <c:tx>
            <c:strRef>
              <c:f>Sheet1!$AJ$2</c:f>
              <c:strCache>
                <c:ptCount val="1"/>
                <c:pt idx="0">
                  <c:v>Axes optiques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40"/>
            <c:spPr>
              <a:ln w="3175">
                <a:noFill/>
              </a:ln>
            </c:spPr>
            <c:marker>
              <c:size val="10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Sheet1!$Z$3:$Z$44</c:f>
              <c:numCache/>
            </c:numRef>
          </c:xVal>
          <c:yVal>
            <c:numRef>
              <c:f>Sheet1!$AJ$3:$AJ$44</c:f>
              <c:numCache/>
            </c:numRef>
          </c:yVal>
          <c:smooth val="0"/>
        </c:ser>
        <c:axId val="26318563"/>
        <c:axId val="35540476"/>
      </c:scatterChart>
      <c:valAx>
        <c:axId val="26318563"/>
        <c:scaling>
          <c:orientation val="minMax"/>
          <c:max val="55"/>
          <c:min val="-205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540476"/>
        <c:crossesAt val="-1100"/>
        <c:crossBetween val="midCat"/>
        <c:dispUnits/>
      </c:valAx>
      <c:valAx>
        <c:axId val="35540476"/>
        <c:scaling>
          <c:orientation val="minMax"/>
          <c:max val="100"/>
          <c:min val="-15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318563"/>
        <c:crossesAt val="-200"/>
        <c:crossBetween val="midCat"/>
        <c:dispUnits/>
        <c:majorUnit val="100"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66975"/>
          <c:w val="0.343"/>
          <c:h val="0.31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0</xdr:rowOff>
    </xdr:from>
    <xdr:to>
      <xdr:col>23</xdr:col>
      <xdr:colOff>0</xdr:colOff>
      <xdr:row>43</xdr:row>
      <xdr:rowOff>123825</xdr:rowOff>
    </xdr:to>
    <xdr:graphicFrame>
      <xdr:nvGraphicFramePr>
        <xdr:cNvPr id="1" name="Chart 2"/>
        <xdr:cNvGraphicFramePr/>
      </xdr:nvGraphicFramePr>
      <xdr:xfrm>
        <a:off x="6172200" y="485775"/>
        <a:ext cx="5724525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29</xdr:row>
      <xdr:rowOff>76200</xdr:rowOff>
    </xdr:from>
    <xdr:to>
      <xdr:col>8</xdr:col>
      <xdr:colOff>0</xdr:colOff>
      <xdr:row>31</xdr:row>
      <xdr:rowOff>104775</xdr:rowOff>
    </xdr:to>
    <xdr:sp>
      <xdr:nvSpPr>
        <xdr:cNvPr id="2" name="Line 3"/>
        <xdr:cNvSpPr>
          <a:spLocks/>
        </xdr:cNvSpPr>
      </xdr:nvSpPr>
      <xdr:spPr>
        <a:xfrm flipH="1">
          <a:off x="2381250" y="4933950"/>
          <a:ext cx="17335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37</xdr:row>
      <xdr:rowOff>9525</xdr:rowOff>
    </xdr:from>
    <xdr:to>
      <xdr:col>8</xdr:col>
      <xdr:colOff>0</xdr:colOff>
      <xdr:row>40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2981325" y="6162675"/>
          <a:ext cx="11334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5"/>
  <sheetViews>
    <sheetView tabSelected="1" zoomScale="75" zoomScaleNormal="75" workbookViewId="0" topLeftCell="A1">
      <selection activeCell="C2" sqref="C2"/>
    </sheetView>
  </sheetViews>
  <sheetFormatPr defaultColWidth="11.421875" defaultRowHeight="12.75"/>
  <cols>
    <col min="1" max="2" width="2.7109375" style="0" customWidth="1"/>
    <col min="3" max="4" width="10.7109375" style="0" customWidth="1"/>
    <col min="5" max="8" width="8.7109375" style="0" customWidth="1"/>
    <col min="9" max="10" width="12.7109375" style="0" customWidth="1"/>
    <col min="11" max="13" width="2.7109375" style="0" customWidth="1"/>
    <col min="14" max="22" width="8.7109375" style="0" customWidth="1"/>
    <col min="23" max="23" width="4.7109375" style="0" customWidth="1"/>
    <col min="24" max="25" width="2.7109375" style="0" customWidth="1"/>
    <col min="26" max="26" width="6.7109375" style="0" customWidth="1"/>
    <col min="27" max="27" width="8.7109375" style="0" customWidth="1"/>
    <col min="28" max="29" width="9.7109375" style="0" customWidth="1"/>
    <col min="30" max="30" width="7.7109375" style="0" customWidth="1"/>
    <col min="31" max="31" width="5.7109375" style="0" customWidth="1"/>
    <col min="32" max="32" width="9.00390625" style="0" customWidth="1"/>
    <col min="33" max="33" width="5.7109375" style="0" customWidth="1"/>
    <col min="34" max="34" width="7.7109375" style="0" customWidth="1"/>
    <col min="35" max="35" width="5.7109375" style="0" customWidth="1"/>
    <col min="36" max="36" width="8.7109375" style="0" customWidth="1"/>
    <col min="37" max="39" width="2.7109375" style="0" customWidth="1"/>
    <col min="40" max="40" width="12.7109375" style="0" customWidth="1"/>
    <col min="41" max="41" width="8.7109375" style="0" customWidth="1"/>
    <col min="42" max="44" width="4.7109375" style="0" customWidth="1"/>
    <col min="45" max="45" width="2.7109375" style="0" customWidth="1"/>
    <col min="46" max="48" width="4.7109375" style="0" customWidth="1"/>
    <col min="49" max="49" width="2.7109375" style="0" customWidth="1"/>
    <col min="50" max="52" width="4.7109375" style="0" customWidth="1"/>
    <col min="53" max="53" width="2.7109375" style="0" customWidth="1"/>
    <col min="54" max="56" width="4.7109375" style="0" customWidth="1"/>
    <col min="57" max="57" width="2.7109375" style="0" customWidth="1"/>
    <col min="58" max="58" width="4.7109375" style="0" customWidth="1"/>
    <col min="59" max="16384" width="9.140625" style="0" customWidth="1"/>
  </cols>
  <sheetData>
    <row r="1" spans="1:38" ht="15.75">
      <c r="A1" s="1" t="s">
        <v>19</v>
      </c>
      <c r="L1" s="1" t="s">
        <v>2</v>
      </c>
      <c r="Y1" s="1" t="s">
        <v>57</v>
      </c>
      <c r="AL1" s="1" t="s">
        <v>94</v>
      </c>
    </row>
    <row r="2" spans="26:36" ht="22.5">
      <c r="Z2" s="7" t="s">
        <v>4</v>
      </c>
      <c r="AA2" s="16" t="s">
        <v>43</v>
      </c>
      <c r="AB2" s="16" t="s">
        <v>35</v>
      </c>
      <c r="AC2" s="16" t="s">
        <v>36</v>
      </c>
      <c r="AD2" s="16" t="s">
        <v>37</v>
      </c>
      <c r="AE2" s="16" t="s">
        <v>17</v>
      </c>
      <c r="AF2" s="16" t="s">
        <v>40</v>
      </c>
      <c r="AG2" s="16" t="s">
        <v>38</v>
      </c>
      <c r="AH2" s="16" t="s">
        <v>41</v>
      </c>
      <c r="AI2" s="16" t="s">
        <v>39</v>
      </c>
      <c r="AJ2" s="16" t="s">
        <v>42</v>
      </c>
    </row>
    <row r="3" spans="2:39" ht="12.75">
      <c r="B3" t="s">
        <v>20</v>
      </c>
      <c r="Z3" s="9">
        <f>-Dia/2-F16</f>
        <v>-150</v>
      </c>
      <c r="AA3" s="10">
        <f>Hfoy</f>
        <v>200</v>
      </c>
      <c r="AB3" s="11"/>
      <c r="AC3" s="11"/>
      <c r="AD3" s="11"/>
      <c r="AE3" s="11"/>
      <c r="AF3" s="11"/>
      <c r="AG3" s="11"/>
      <c r="AH3" s="11"/>
      <c r="AI3" s="11"/>
      <c r="AJ3" s="11"/>
      <c r="AM3" s="2" t="s">
        <v>65</v>
      </c>
    </row>
    <row r="4" spans="3:41" ht="12.75">
      <c r="C4" t="s">
        <v>22</v>
      </c>
      <c r="Z4" s="9">
        <f>Z3</f>
        <v>-150</v>
      </c>
      <c r="AA4" s="12">
        <f>25</f>
        <v>25</v>
      </c>
      <c r="AB4" s="11"/>
      <c r="AC4" s="11"/>
      <c r="AD4" s="11"/>
      <c r="AE4" s="11"/>
      <c r="AF4" s="11"/>
      <c r="AG4" s="11"/>
      <c r="AH4" s="11"/>
      <c r="AI4" s="11"/>
      <c r="AJ4" s="11"/>
      <c r="AN4" t="s">
        <v>66</v>
      </c>
      <c r="AO4">
        <v>1250</v>
      </c>
    </row>
    <row r="5" spans="3:41" ht="12.75">
      <c r="C5" t="s">
        <v>21</v>
      </c>
      <c r="Z5" s="9">
        <f>-Hfoy</f>
        <v>-200</v>
      </c>
      <c r="AA5" s="12">
        <f>AA4</f>
        <v>25</v>
      </c>
      <c r="AB5" s="11"/>
      <c r="AC5" s="11"/>
      <c r="AD5" s="11"/>
      <c r="AE5" s="11"/>
      <c r="AF5" s="11"/>
      <c r="AG5" s="11"/>
      <c r="AH5" s="11"/>
      <c r="AI5" s="11"/>
      <c r="AJ5" s="11"/>
      <c r="AN5" t="s">
        <v>67</v>
      </c>
      <c r="AO5">
        <v>200</v>
      </c>
    </row>
    <row r="6" spans="2:40" ht="12.75">
      <c r="B6" t="s">
        <v>87</v>
      </c>
      <c r="Z6" s="9">
        <f>Z5</f>
        <v>-200</v>
      </c>
      <c r="AA6" s="12">
        <f>-AA4</f>
        <v>-25</v>
      </c>
      <c r="AB6" s="11"/>
      <c r="AC6" s="11"/>
      <c r="AD6" s="11"/>
      <c r="AE6" s="11"/>
      <c r="AF6" s="11"/>
      <c r="AG6" s="11"/>
      <c r="AH6" s="11"/>
      <c r="AI6" s="11"/>
      <c r="AJ6" s="11"/>
      <c r="AN6" t="s">
        <v>75</v>
      </c>
    </row>
    <row r="7" spans="2:40" ht="12.75">
      <c r="B7" t="s">
        <v>88</v>
      </c>
      <c r="Z7" s="9">
        <f>Z3</f>
        <v>-150</v>
      </c>
      <c r="AA7" s="12">
        <f>-AA4</f>
        <v>-25</v>
      </c>
      <c r="AB7" s="11"/>
      <c r="AC7" s="11"/>
      <c r="AD7" s="11"/>
      <c r="AE7" s="11"/>
      <c r="AF7" s="11"/>
      <c r="AG7" s="11"/>
      <c r="AH7" s="11"/>
      <c r="AI7" s="11"/>
      <c r="AJ7" s="11"/>
      <c r="AN7" t="s">
        <v>76</v>
      </c>
    </row>
    <row r="8" spans="26:40" ht="12.75">
      <c r="Z8" s="9">
        <f>Z3</f>
        <v>-150</v>
      </c>
      <c r="AA8" s="12">
        <f>-(Foc-Hfoy)-2*F16</f>
        <v>-1100</v>
      </c>
      <c r="AB8" s="11"/>
      <c r="AC8" s="11"/>
      <c r="AD8" s="11"/>
      <c r="AE8" s="11"/>
      <c r="AF8" s="11"/>
      <c r="AG8" s="11"/>
      <c r="AH8" s="11"/>
      <c r="AI8" s="11"/>
      <c r="AJ8" s="11"/>
      <c r="AN8" t="s">
        <v>77</v>
      </c>
    </row>
    <row r="9" spans="1:40" ht="12.75">
      <c r="A9" s="2" t="s">
        <v>68</v>
      </c>
      <c r="Z9" s="9">
        <f>-Z3</f>
        <v>150</v>
      </c>
      <c r="AA9" s="12">
        <f>AA8</f>
        <v>-1100</v>
      </c>
      <c r="AB9" s="11"/>
      <c r="AC9" s="11"/>
      <c r="AD9" s="11"/>
      <c r="AE9" s="11"/>
      <c r="AF9" s="11"/>
      <c r="AG9" s="11"/>
      <c r="AH9" s="11"/>
      <c r="AI9" s="11"/>
      <c r="AJ9" s="11"/>
      <c r="AN9" t="s">
        <v>78</v>
      </c>
    </row>
    <row r="10" spans="3:36" ht="12.75">
      <c r="C10" t="s">
        <v>23</v>
      </c>
      <c r="E10" s="6" t="s">
        <v>1</v>
      </c>
      <c r="F10" s="14">
        <v>1250</v>
      </c>
      <c r="G10" t="s">
        <v>0</v>
      </c>
      <c r="Z10" s="9">
        <f>-Z3</f>
        <v>150</v>
      </c>
      <c r="AA10" s="13">
        <f>AA3</f>
        <v>200</v>
      </c>
      <c r="AB10" s="11"/>
      <c r="AC10" s="11"/>
      <c r="AD10" s="11"/>
      <c r="AE10" s="11"/>
      <c r="AF10" s="11"/>
      <c r="AG10" s="11"/>
      <c r="AH10" s="11"/>
      <c r="AI10" s="11"/>
      <c r="AJ10" s="11"/>
    </row>
    <row r="11" spans="3:40" ht="12.75">
      <c r="C11" t="s">
        <v>24</v>
      </c>
      <c r="E11" s="6" t="s">
        <v>3</v>
      </c>
      <c r="F11" s="14">
        <v>200</v>
      </c>
      <c r="G11" t="s">
        <v>0</v>
      </c>
      <c r="Z11" s="9">
        <f>-Hfoy</f>
        <v>-200</v>
      </c>
      <c r="AA11" s="11"/>
      <c r="AB11" s="10">
        <v>0</v>
      </c>
      <c r="AC11" s="11"/>
      <c r="AD11" s="11"/>
      <c r="AE11" s="11"/>
      <c r="AF11" s="11"/>
      <c r="AG11" s="11"/>
      <c r="AH11" s="11"/>
      <c r="AI11" s="11"/>
      <c r="AJ11" s="11"/>
      <c r="AN11" s="18" t="s">
        <v>72</v>
      </c>
    </row>
    <row r="12" spans="1:53" ht="12.75">
      <c r="A12" t="s">
        <v>69</v>
      </c>
      <c r="Z12" s="9">
        <v>0</v>
      </c>
      <c r="AA12" s="11"/>
      <c r="AB12" s="12">
        <f>AB11</f>
        <v>0</v>
      </c>
      <c r="AC12" s="11"/>
      <c r="AD12" s="11"/>
      <c r="AE12" s="11"/>
      <c r="AF12" s="11"/>
      <c r="AG12" s="11"/>
      <c r="AH12" s="11"/>
      <c r="AI12" s="11"/>
      <c r="AJ12" s="11"/>
      <c r="AN12" t="s">
        <v>11</v>
      </c>
      <c r="AT12" s="8">
        <v>0</v>
      </c>
      <c r="AU12" s="8">
        <v>0</v>
      </c>
      <c r="AV12" s="8">
        <v>0</v>
      </c>
      <c r="AX12" s="8">
        <v>1</v>
      </c>
      <c r="AY12" s="8">
        <v>1</v>
      </c>
      <c r="AZ12" s="8">
        <v>1</v>
      </c>
      <c r="BA12" t="s">
        <v>30</v>
      </c>
    </row>
    <row r="13" spans="3:53" ht="12.75">
      <c r="C13" t="s">
        <v>26</v>
      </c>
      <c r="E13" s="6" t="s">
        <v>8</v>
      </c>
      <c r="F13" s="15">
        <f>H13/180*PI()</f>
        <v>0</v>
      </c>
      <c r="G13" t="s">
        <v>5</v>
      </c>
      <c r="H13" s="14">
        <v>0</v>
      </c>
      <c r="I13" t="s">
        <v>7</v>
      </c>
      <c r="Z13" s="9">
        <v>0</v>
      </c>
      <c r="AA13" s="11"/>
      <c r="AB13" s="13">
        <f>-Foc+Hfoy</f>
        <v>-1050</v>
      </c>
      <c r="AC13" s="11"/>
      <c r="AD13" s="11"/>
      <c r="AE13" s="11"/>
      <c r="AF13" s="11"/>
      <c r="AG13" s="11"/>
      <c r="AH13" s="11"/>
      <c r="AI13" s="11"/>
      <c r="AJ13" s="11"/>
      <c r="AN13" t="s">
        <v>13</v>
      </c>
      <c r="AT13" s="8">
        <v>-1</v>
      </c>
      <c r="AU13" s="8">
        <v>0</v>
      </c>
      <c r="AV13" s="8">
        <v>1</v>
      </c>
      <c r="AX13" s="8">
        <v>-1</v>
      </c>
      <c r="AY13" s="8">
        <v>0</v>
      </c>
      <c r="AZ13" s="8">
        <v>1</v>
      </c>
      <c r="BA13" t="s">
        <v>86</v>
      </c>
    </row>
    <row r="14" spans="3:53" ht="12.75">
      <c r="C14" t="s">
        <v>25</v>
      </c>
      <c r="E14" s="6" t="s">
        <v>6</v>
      </c>
      <c r="F14" s="15">
        <f>H14/180*PI()</f>
        <v>0.7853981633974483</v>
      </c>
      <c r="G14" t="s">
        <v>5</v>
      </c>
      <c r="H14" s="14">
        <v>45</v>
      </c>
      <c r="I14" t="s">
        <v>7</v>
      </c>
      <c r="Z14" s="9">
        <f>-COS(Tsec)*F17/2</f>
        <v>-53.033008588991066</v>
      </c>
      <c r="AA14" s="11"/>
      <c r="AB14" s="11"/>
      <c r="AC14" s="10">
        <f>AC15+10</f>
        <v>63.03300858899106</v>
      </c>
      <c r="AD14" s="11"/>
      <c r="AE14" s="11"/>
      <c r="AF14" s="11"/>
      <c r="AG14" s="11"/>
      <c r="AH14" s="11"/>
      <c r="AI14" s="11"/>
      <c r="AJ14" s="11"/>
      <c r="AN14" t="s">
        <v>70</v>
      </c>
      <c r="AT14" s="8">
        <v>-0.5</v>
      </c>
      <c r="AU14" s="8">
        <v>0</v>
      </c>
      <c r="AV14" s="8">
        <v>0.5</v>
      </c>
      <c r="AX14" s="8">
        <v>0.5</v>
      </c>
      <c r="AY14" s="8">
        <v>1</v>
      </c>
      <c r="AZ14" s="8">
        <v>1.5</v>
      </c>
      <c r="BA14" t="s">
        <v>86</v>
      </c>
    </row>
    <row r="15" spans="3:36" ht="12.75">
      <c r="C15" t="s">
        <v>18</v>
      </c>
      <c r="E15" s="6"/>
      <c r="F15" s="14">
        <v>250</v>
      </c>
      <c r="G15" t="s">
        <v>0</v>
      </c>
      <c r="Z15" s="9">
        <f>Z14</f>
        <v>-53.033008588991066</v>
      </c>
      <c r="AA15" s="11"/>
      <c r="AB15" s="11"/>
      <c r="AC15" s="12">
        <f>SIN(Tsec)*F17/2</f>
        <v>53.03300858899106</v>
      </c>
      <c r="AD15" s="11"/>
      <c r="AE15" s="11"/>
      <c r="AF15" s="11"/>
      <c r="AG15" s="11"/>
      <c r="AH15" s="11"/>
      <c r="AI15" s="11"/>
      <c r="AJ15" s="11"/>
    </row>
    <row r="16" spans="3:40" ht="12.75">
      <c r="C16" t="s">
        <v>15</v>
      </c>
      <c r="E16" s="6"/>
      <c r="F16" s="14">
        <v>25</v>
      </c>
      <c r="G16" t="s">
        <v>0</v>
      </c>
      <c r="Z16" s="9">
        <f>-Z14</f>
        <v>53.033008588991066</v>
      </c>
      <c r="AA16" s="11"/>
      <c r="AB16" s="11"/>
      <c r="AC16" s="12">
        <f>-AC15</f>
        <v>-53.03300858899106</v>
      </c>
      <c r="AD16" s="11"/>
      <c r="AE16" s="11"/>
      <c r="AF16" s="11"/>
      <c r="AG16" s="11"/>
      <c r="AH16" s="11"/>
      <c r="AI16" s="11"/>
      <c r="AJ16" s="11"/>
      <c r="AN16" s="18" t="s">
        <v>71</v>
      </c>
    </row>
    <row r="17" spans="3:53" ht="12.75">
      <c r="C17" t="s">
        <v>27</v>
      </c>
      <c r="E17" s="6"/>
      <c r="F17" s="14">
        <v>150</v>
      </c>
      <c r="G17" t="s">
        <v>0</v>
      </c>
      <c r="Z17" s="9">
        <f>-Z14</f>
        <v>53.033008588991066</v>
      </c>
      <c r="AA17" s="11"/>
      <c r="AB17" s="11"/>
      <c r="AC17" s="13">
        <f>AC16+10</f>
        <v>-43.03300858899106</v>
      </c>
      <c r="AD17" s="11"/>
      <c r="AE17" s="11"/>
      <c r="AF17" s="11"/>
      <c r="AG17" s="11"/>
      <c r="AH17" s="11"/>
      <c r="AI17" s="11"/>
      <c r="AJ17" s="11"/>
      <c r="AN17" t="s">
        <v>11</v>
      </c>
      <c r="AT17" s="8">
        <v>0</v>
      </c>
      <c r="AU17" s="8">
        <v>0</v>
      </c>
      <c r="AV17" s="8">
        <v>0</v>
      </c>
      <c r="AX17" s="8">
        <v>1</v>
      </c>
      <c r="AY17" s="8">
        <v>1</v>
      </c>
      <c r="AZ17" s="8">
        <v>1</v>
      </c>
      <c r="BA17" t="s">
        <v>30</v>
      </c>
    </row>
    <row r="18" spans="3:53" ht="12.75">
      <c r="C18" t="s">
        <v>16</v>
      </c>
      <c r="E18" s="6"/>
      <c r="F18" s="14">
        <v>10</v>
      </c>
      <c r="G18" t="s">
        <v>0</v>
      </c>
      <c r="Z18" s="9">
        <f>-Dia/2</f>
        <v>-125</v>
      </c>
      <c r="AA18" s="11"/>
      <c r="AB18" s="11"/>
      <c r="AC18" s="11"/>
      <c r="AD18" s="10">
        <f>-(Foc-Hfoy)-25</f>
        <v>-1075</v>
      </c>
      <c r="AE18" s="11"/>
      <c r="AF18" s="11"/>
      <c r="AG18" s="11"/>
      <c r="AH18" s="11"/>
      <c r="AI18" s="11"/>
      <c r="AJ18" s="11"/>
      <c r="AN18" t="s">
        <v>13</v>
      </c>
      <c r="AT18" s="8">
        <v>-1</v>
      </c>
      <c r="AU18" s="8">
        <v>0</v>
      </c>
      <c r="AV18" s="8">
        <v>1</v>
      </c>
      <c r="AX18" s="8">
        <v>-1</v>
      </c>
      <c r="AY18" s="8">
        <v>0</v>
      </c>
      <c r="AZ18" s="8">
        <v>1</v>
      </c>
      <c r="BA18" t="s">
        <v>86</v>
      </c>
    </row>
    <row r="19" spans="26:53" ht="12.75">
      <c r="Z19" s="9">
        <f>Z18</f>
        <v>-125</v>
      </c>
      <c r="AA19" s="11"/>
      <c r="AB19" s="11"/>
      <c r="AC19" s="11"/>
      <c r="AD19" s="12">
        <f>AD18+25</f>
        <v>-1050</v>
      </c>
      <c r="AE19" s="11"/>
      <c r="AF19" s="11"/>
      <c r="AG19" s="11"/>
      <c r="AH19" s="11"/>
      <c r="AI19" s="11"/>
      <c r="AJ19" s="11"/>
      <c r="AN19" t="s">
        <v>70</v>
      </c>
      <c r="AT19" s="8">
        <v>-0.5</v>
      </c>
      <c r="AU19" s="8">
        <v>0</v>
      </c>
      <c r="AV19" s="8">
        <v>0.5</v>
      </c>
      <c r="AX19" s="8">
        <v>0.5</v>
      </c>
      <c r="AY19" s="8">
        <v>1</v>
      </c>
      <c r="AZ19" s="8">
        <v>1.5</v>
      </c>
      <c r="BA19" t="s">
        <v>86</v>
      </c>
    </row>
    <row r="20" spans="1:36" ht="12.75">
      <c r="A20" s="2" t="s">
        <v>9</v>
      </c>
      <c r="Z20" s="9">
        <f>-Z19</f>
        <v>125</v>
      </c>
      <c r="AA20" s="11"/>
      <c r="AB20" s="11"/>
      <c r="AC20" s="11"/>
      <c r="AD20" s="12">
        <f>AD19</f>
        <v>-1050</v>
      </c>
      <c r="AE20" s="11"/>
      <c r="AF20" s="11"/>
      <c r="AG20" s="11"/>
      <c r="AH20" s="11"/>
      <c r="AI20" s="11"/>
      <c r="AJ20" s="11"/>
    </row>
    <row r="21" spans="1:40" ht="12.75">
      <c r="A21" s="2"/>
      <c r="E21" s="19" t="s">
        <v>4</v>
      </c>
      <c r="F21" s="19" t="s">
        <v>31</v>
      </c>
      <c r="G21" s="19" t="s">
        <v>64</v>
      </c>
      <c r="H21" s="19" t="s">
        <v>63</v>
      </c>
      <c r="Z21" s="9">
        <f>Z20</f>
        <v>125</v>
      </c>
      <c r="AA21" s="11"/>
      <c r="AB21" s="11"/>
      <c r="AC21" s="11"/>
      <c r="AD21" s="13">
        <f>AD18</f>
        <v>-1075</v>
      </c>
      <c r="AE21" s="11"/>
      <c r="AF21" s="11"/>
      <c r="AG21" s="11"/>
      <c r="AH21" s="11"/>
      <c r="AI21" s="11"/>
      <c r="AJ21" s="11"/>
      <c r="AN21" s="18" t="s">
        <v>73</v>
      </c>
    </row>
    <row r="22" spans="1:53" ht="12.75">
      <c r="A22" s="2"/>
      <c r="C22" t="s">
        <v>32</v>
      </c>
      <c r="E22" s="20">
        <f>-Hfoy</f>
        <v>-200</v>
      </c>
      <c r="F22" s="21">
        <v>5</v>
      </c>
      <c r="G22" s="22">
        <f>ATAN(I22/Foc)</f>
        <v>0.039978687123290044</v>
      </c>
      <c r="H22" s="23"/>
      <c r="I22" s="3">
        <v>50</v>
      </c>
      <c r="J22" t="s">
        <v>30</v>
      </c>
      <c r="Z22" s="9">
        <f>E22</f>
        <v>-200</v>
      </c>
      <c r="AA22" s="11"/>
      <c r="AB22" s="11"/>
      <c r="AC22" s="11"/>
      <c r="AD22" s="11"/>
      <c r="AE22" s="10">
        <f>F22</f>
        <v>5</v>
      </c>
      <c r="AF22" s="11"/>
      <c r="AG22" s="11"/>
      <c r="AH22" s="11"/>
      <c r="AI22" s="11"/>
      <c r="AJ22" s="11"/>
      <c r="AN22" t="s">
        <v>11</v>
      </c>
      <c r="AP22" s="8">
        <v>-1</v>
      </c>
      <c r="AQ22" s="8">
        <v>-1</v>
      </c>
      <c r="AR22" s="8">
        <v>-1</v>
      </c>
      <c r="AT22" s="8">
        <v>0</v>
      </c>
      <c r="AU22" s="8">
        <v>0</v>
      </c>
      <c r="AV22" s="8">
        <v>0</v>
      </c>
      <c r="AX22" s="8">
        <v>1</v>
      </c>
      <c r="AY22" s="8">
        <v>1</v>
      </c>
      <c r="AZ22" s="8">
        <v>1</v>
      </c>
      <c r="BA22" t="s">
        <v>30</v>
      </c>
    </row>
    <row r="23" spans="2:56" ht="12.75">
      <c r="B23" s="2" t="s">
        <v>89</v>
      </c>
      <c r="E23" s="24"/>
      <c r="F23" s="24"/>
      <c r="G23" s="25"/>
      <c r="H23" s="24"/>
      <c r="Z23" s="9">
        <f>E24</f>
        <v>-12.500000000000002</v>
      </c>
      <c r="AA23" s="11"/>
      <c r="AB23" s="11"/>
      <c r="AC23" s="11"/>
      <c r="AD23" s="11"/>
      <c r="AE23" s="12">
        <f>F24</f>
        <v>12.5</v>
      </c>
      <c r="AF23" s="11"/>
      <c r="AG23" s="11"/>
      <c r="AH23" s="11"/>
      <c r="AI23" s="11"/>
      <c r="AJ23" s="11"/>
      <c r="AN23" t="s">
        <v>13</v>
      </c>
      <c r="AP23" s="8">
        <v>-1</v>
      </c>
      <c r="AQ23" s="8">
        <v>0</v>
      </c>
      <c r="AR23" s="8">
        <v>1</v>
      </c>
      <c r="AT23" s="8">
        <v>-1</v>
      </c>
      <c r="AU23" s="8">
        <v>0</v>
      </c>
      <c r="AV23" s="8">
        <v>1</v>
      </c>
      <c r="AX23" s="8">
        <v>-1</v>
      </c>
      <c r="AY23" s="8">
        <v>0</v>
      </c>
      <c r="AZ23" s="8">
        <v>1</v>
      </c>
      <c r="BA23" t="s">
        <v>86</v>
      </c>
      <c r="BD23" s="8"/>
    </row>
    <row r="24" spans="3:56" ht="12.75">
      <c r="C24" t="s">
        <v>33</v>
      </c>
      <c r="E24" s="20">
        <f>(E22*TAN(Tlas)-F22)/(TAN(Tsec)+TAN(Tlas))</f>
        <v>-12.500000000000002</v>
      </c>
      <c r="F24" s="20">
        <f>-E24*TAN(Tsec)</f>
        <v>12.5</v>
      </c>
      <c r="G24" s="26">
        <f>Tlas+2*(Tsec-PI()/4)</f>
        <v>0.039978687123290044</v>
      </c>
      <c r="H24" s="24"/>
      <c r="Z24" s="9">
        <f>E25</f>
        <v>-55</v>
      </c>
      <c r="AA24" s="11"/>
      <c r="AB24" s="11"/>
      <c r="AC24" s="11"/>
      <c r="AD24" s="11"/>
      <c r="AE24" s="12">
        <f>F25-Foc+Hfoy</f>
        <v>-1050</v>
      </c>
      <c r="AF24" s="11"/>
      <c r="AG24" s="11"/>
      <c r="AH24" s="11"/>
      <c r="AI24" s="11"/>
      <c r="AJ24" s="11"/>
      <c r="AN24" t="s">
        <v>70</v>
      </c>
      <c r="AP24" s="8">
        <v>-1</v>
      </c>
      <c r="AQ24" s="8">
        <v>-0.5</v>
      </c>
      <c r="AR24" s="8">
        <v>0</v>
      </c>
      <c r="AT24" s="8">
        <v>0</v>
      </c>
      <c r="AU24" s="8">
        <v>0.5</v>
      </c>
      <c r="AV24" s="8">
        <v>1</v>
      </c>
      <c r="AX24" s="8">
        <v>1</v>
      </c>
      <c r="AY24" s="8">
        <v>1.5</v>
      </c>
      <c r="AZ24" s="8">
        <v>2</v>
      </c>
      <c r="BA24" t="s">
        <v>86</v>
      </c>
      <c r="BD24" s="8"/>
    </row>
    <row r="25" spans="3:56" ht="12.75">
      <c r="C25" t="s">
        <v>34</v>
      </c>
      <c r="E25" s="20">
        <f>(E24-TAN(G24)*(Foc-Hfoy+F24))/(1-TAN(Tpri)*TAN(G24))</f>
        <v>-55</v>
      </c>
      <c r="F25" s="27">
        <f>E25*TAN(Tpri)</f>
        <v>0</v>
      </c>
      <c r="G25" s="26">
        <f>G24+2*Tpri</f>
        <v>0.039978687123290044</v>
      </c>
      <c r="H25" s="24"/>
      <c r="Z25" s="9">
        <f>E26</f>
        <v>-101.04166666666667</v>
      </c>
      <c r="AA25" s="11"/>
      <c r="AB25" s="11"/>
      <c r="AC25" s="11"/>
      <c r="AD25" s="11"/>
      <c r="AE25" s="12">
        <f>F26</f>
        <v>101.04166666666666</v>
      </c>
      <c r="AF25" s="11"/>
      <c r="AG25" s="11"/>
      <c r="AH25" s="11"/>
      <c r="AI25" s="11"/>
      <c r="AJ25" s="11"/>
      <c r="BB25" s="8"/>
      <c r="BC25" s="8"/>
      <c r="BD25" s="8"/>
    </row>
    <row r="26" spans="3:55" ht="12.75">
      <c r="C26" t="s">
        <v>91</v>
      </c>
      <c r="E26" s="20">
        <f>(E25-TAN(G25)*(Foc-Hfoy-F25))/(1-TAN(G25)*TAN(Tsec))</f>
        <v>-101.04166666666667</v>
      </c>
      <c r="F26" s="20">
        <f>-E26*TAN(Tsec)</f>
        <v>101.04166666666666</v>
      </c>
      <c r="G26" s="26">
        <f>G25+2*Tsec-PI()/2</f>
        <v>0.03997868712329011</v>
      </c>
      <c r="H26" s="24"/>
      <c r="Z26" s="9">
        <f>Z22</f>
        <v>-200</v>
      </c>
      <c r="AA26" s="11"/>
      <c r="AB26" s="11"/>
      <c r="AC26" s="11"/>
      <c r="AD26" s="11"/>
      <c r="AE26" s="13">
        <f>F27</f>
        <v>105</v>
      </c>
      <c r="AF26" s="11"/>
      <c r="AG26" s="11"/>
      <c r="AH26" s="11"/>
      <c r="AI26" s="11"/>
      <c r="AJ26" s="11"/>
      <c r="AN26" s="18" t="s">
        <v>74</v>
      </c>
      <c r="BB26" s="8"/>
      <c r="BC26" s="8"/>
    </row>
    <row r="27" spans="3:55" ht="12.75">
      <c r="C27" t="s">
        <v>93</v>
      </c>
      <c r="E27" s="28">
        <f>E22</f>
        <v>-200</v>
      </c>
      <c r="F27" s="27">
        <f>F26+(Hfoy+E26)*TAN(G26)</f>
        <v>105</v>
      </c>
      <c r="G27" s="26" t="s">
        <v>10</v>
      </c>
      <c r="H27" s="24"/>
      <c r="Z27" s="9">
        <f>-F17/2*COS(Tsec+Rsec)</f>
        <v>-54.64802572917637</v>
      </c>
      <c r="AA27" s="11"/>
      <c r="AB27" s="11"/>
      <c r="AC27" s="11"/>
      <c r="AD27" s="11"/>
      <c r="AE27" s="11"/>
      <c r="AF27" s="10">
        <f>F17/2*SIN(Tsec+Rsec)</f>
        <v>51.36723940317678</v>
      </c>
      <c r="AG27" s="11"/>
      <c r="AH27" s="11"/>
      <c r="AI27" s="11"/>
      <c r="AJ27" s="11"/>
      <c r="AN27" t="s">
        <v>11</v>
      </c>
      <c r="AP27" s="8">
        <v>-1</v>
      </c>
      <c r="AQ27" s="8">
        <v>-1</v>
      </c>
      <c r="AR27" s="8">
        <v>-1</v>
      </c>
      <c r="AT27" s="8">
        <v>0</v>
      </c>
      <c r="AU27" s="8">
        <v>0</v>
      </c>
      <c r="AV27" s="8">
        <v>0</v>
      </c>
      <c r="AX27" s="8">
        <v>1</v>
      </c>
      <c r="AY27" s="8">
        <v>1</v>
      </c>
      <c r="AZ27" s="8">
        <v>1</v>
      </c>
      <c r="BA27" t="s">
        <v>30</v>
      </c>
      <c r="BB27" s="8"/>
      <c r="BC27" s="8"/>
    </row>
    <row r="28" spans="3:53" ht="12.75">
      <c r="C28" t="s">
        <v>90</v>
      </c>
      <c r="E28" s="27">
        <f>(-TAN(Tpri)*(Foc-Hfoy))/(1-TAN(Tpri)*TAN(Tsec))</f>
        <v>0</v>
      </c>
      <c r="F28" s="27">
        <f>-E28*TAN(Tsec)</f>
        <v>0</v>
      </c>
      <c r="G28" s="26">
        <f>Tpri+2*Tsec-PI()/2</f>
        <v>0</v>
      </c>
      <c r="H28" s="20">
        <f>SQRT((Foc-Hfoy+F28)^2+E28^2)</f>
        <v>1050</v>
      </c>
      <c r="Z28" s="9">
        <f>-Z27</f>
        <v>54.64802572917637</v>
      </c>
      <c r="AA28" s="11"/>
      <c r="AB28" s="11"/>
      <c r="AC28" s="11"/>
      <c r="AD28" s="11"/>
      <c r="AE28" s="11"/>
      <c r="AF28" s="13">
        <f>-AF27</f>
        <v>-51.36723940317678</v>
      </c>
      <c r="AG28" s="11"/>
      <c r="AH28" s="11"/>
      <c r="AI28" s="11"/>
      <c r="AJ28" s="11"/>
      <c r="AN28" t="s">
        <v>13</v>
      </c>
      <c r="AP28" s="8">
        <v>-1</v>
      </c>
      <c r="AQ28" s="8">
        <v>0</v>
      </c>
      <c r="AR28" s="8">
        <v>1</v>
      </c>
      <c r="AT28" s="8">
        <v>-1</v>
      </c>
      <c r="AU28" s="8">
        <v>0</v>
      </c>
      <c r="AV28" s="8">
        <v>1</v>
      </c>
      <c r="AX28" s="8">
        <v>-1</v>
      </c>
      <c r="AY28" s="8">
        <v>0</v>
      </c>
      <c r="AZ28" s="8">
        <v>1</v>
      </c>
      <c r="BA28" t="s">
        <v>86</v>
      </c>
    </row>
    <row r="29" spans="3:53" ht="12.75">
      <c r="C29" t="s">
        <v>92</v>
      </c>
      <c r="E29" s="27">
        <f>-COS(G28)*(Foc-H28)+E28</f>
        <v>-200</v>
      </c>
      <c r="F29" s="27">
        <f>SIN(G28)*(Foc-H28)+F28</f>
        <v>0</v>
      </c>
      <c r="G29" s="22" t="s">
        <v>10</v>
      </c>
      <c r="H29" s="24"/>
      <c r="Z29" s="9">
        <f>E22</f>
        <v>-200</v>
      </c>
      <c r="AA29" s="11"/>
      <c r="AB29" s="11"/>
      <c r="AC29" s="11"/>
      <c r="AD29" s="11"/>
      <c r="AE29" s="11"/>
      <c r="AF29" s="11"/>
      <c r="AG29" s="10">
        <f>F22</f>
        <v>5</v>
      </c>
      <c r="AH29" s="11"/>
      <c r="AI29" s="11"/>
      <c r="AJ29" s="11"/>
      <c r="AN29" t="s">
        <v>70</v>
      </c>
      <c r="AP29" s="8">
        <v>-1</v>
      </c>
      <c r="AQ29" s="8">
        <v>-0.5</v>
      </c>
      <c r="AR29" s="8">
        <v>0</v>
      </c>
      <c r="AT29" s="8">
        <v>0</v>
      </c>
      <c r="AU29" s="8">
        <v>0.5</v>
      </c>
      <c r="AV29" s="8">
        <v>1</v>
      </c>
      <c r="AX29" s="8">
        <v>1</v>
      </c>
      <c r="AY29" s="8">
        <v>1.5</v>
      </c>
      <c r="AZ29" s="8">
        <v>2</v>
      </c>
      <c r="BA29" t="s">
        <v>86</v>
      </c>
    </row>
    <row r="30" spans="2:36" ht="12.75">
      <c r="B30" s="2" t="s">
        <v>28</v>
      </c>
      <c r="E30" s="23"/>
      <c r="F30" s="29" t="s">
        <v>12</v>
      </c>
      <c r="G30" s="30">
        <f>I30*PI()/180</f>
        <v>-0.030936484590375086</v>
      </c>
      <c r="H30" s="24"/>
      <c r="I30" s="17">
        <v>-1.77253</v>
      </c>
      <c r="J30" t="s">
        <v>59</v>
      </c>
      <c r="Z30" s="9">
        <f>E31</f>
        <v>-13.265777943708933</v>
      </c>
      <c r="AA30" s="11"/>
      <c r="AB30" s="11"/>
      <c r="AC30" s="11"/>
      <c r="AD30" s="11"/>
      <c r="AE30" s="11"/>
      <c r="AF30" s="11"/>
      <c r="AG30" s="12">
        <f>F31</f>
        <v>12.469368882251642</v>
      </c>
      <c r="AH30" s="11"/>
      <c r="AI30" s="11"/>
      <c r="AJ30" s="11"/>
    </row>
    <row r="31" spans="3:39" ht="12.75">
      <c r="C31" t="s">
        <v>33</v>
      </c>
      <c r="E31" s="20">
        <f>(E22*TAN(Tlas)-F22)/(TAN(Tsec+Rsec)+TAN(Tlas))</f>
        <v>-13.265777943708933</v>
      </c>
      <c r="F31" s="20">
        <f>-E31*TAN(Tsec+Rsec)</f>
        <v>12.469368882251642</v>
      </c>
      <c r="G31" s="26">
        <f>Tlas+2*(Tsec+Rsec-PI()/4)</f>
        <v>-0.021894282057460204</v>
      </c>
      <c r="H31" s="24"/>
      <c r="Z31" s="9">
        <f>E32</f>
        <v>9.999943763733942</v>
      </c>
      <c r="AA31" s="11"/>
      <c r="AB31" s="11"/>
      <c r="AC31" s="11"/>
      <c r="AD31" s="11"/>
      <c r="AE31" s="11"/>
      <c r="AF31" s="11"/>
      <c r="AG31" s="12">
        <f>F32-Foc+Hfoy</f>
        <v>-1050</v>
      </c>
      <c r="AH31" s="11"/>
      <c r="AI31" s="11"/>
      <c r="AJ31" s="11"/>
      <c r="AM31" s="2" t="s">
        <v>79</v>
      </c>
    </row>
    <row r="32" spans="3:40" ht="12.75">
      <c r="C32" t="s">
        <v>34</v>
      </c>
      <c r="E32" s="31">
        <f>(E31-TAN(G31)*(Foc-Hfoy+F31))/(1-TAN(Tpri)*TAN(G31))</f>
        <v>9.999943763733942</v>
      </c>
      <c r="F32" s="27">
        <f>E32*TAN(Tpri)</f>
        <v>0</v>
      </c>
      <c r="G32" s="26">
        <f>G31+2*Tpri</f>
        <v>-0.021894282057460204</v>
      </c>
      <c r="H32" s="24"/>
      <c r="Z32" s="9">
        <f>E33</f>
        <v>32.32721795148378</v>
      </c>
      <c r="AA32" s="11"/>
      <c r="AB32" s="11"/>
      <c r="AC32" s="11"/>
      <c r="AD32" s="11"/>
      <c r="AE32" s="11"/>
      <c r="AF32" s="11"/>
      <c r="AG32" s="12">
        <f>F33</f>
        <v>-30.38645809423953</v>
      </c>
      <c r="AH32" s="11"/>
      <c r="AI32" s="11"/>
      <c r="AJ32" s="11"/>
      <c r="AN32" t="s">
        <v>80</v>
      </c>
    </row>
    <row r="33" spans="3:40" ht="12.75">
      <c r="C33" t="s">
        <v>91</v>
      </c>
      <c r="E33" s="20">
        <f>(E32-TAN(G32)*(Foc-Hfoy-F32))/(1-TAN(G32)*TAN(Tsec+Rsec))</f>
        <v>32.32721795148378</v>
      </c>
      <c r="F33" s="20">
        <f>-E33*TAN(Tsec+Rsec)</f>
        <v>-30.38645809423953</v>
      </c>
      <c r="G33" s="26">
        <f>G32+2*(Tsec+Rsec)-PI()/2</f>
        <v>-0.08376725123821038</v>
      </c>
      <c r="H33" s="24"/>
      <c r="Z33" s="9">
        <f>Z29</f>
        <v>-200</v>
      </c>
      <c r="AA33" s="11"/>
      <c r="AB33" s="11"/>
      <c r="AC33" s="11"/>
      <c r="AD33" s="11"/>
      <c r="AE33" s="11"/>
      <c r="AF33" s="11"/>
      <c r="AG33" s="13">
        <f>F34</f>
        <v>-49.893518593022065</v>
      </c>
      <c r="AH33" s="11"/>
      <c r="AI33" s="11"/>
      <c r="AJ33" s="11"/>
      <c r="AN33" t="s">
        <v>82</v>
      </c>
    </row>
    <row r="34" spans="3:40" ht="12.75">
      <c r="C34" t="s">
        <v>93</v>
      </c>
      <c r="E34" s="28">
        <f>E22</f>
        <v>-200</v>
      </c>
      <c r="F34" s="27">
        <f>F33+(Hfoy+E33)*TAN(G33)</f>
        <v>-49.893518593022065</v>
      </c>
      <c r="G34" s="22" t="s">
        <v>10</v>
      </c>
      <c r="H34" s="24"/>
      <c r="Z34" s="9">
        <f>-Dia/2*COS(Tpri+Rpri)</f>
        <v>-124.96431875331227</v>
      </c>
      <c r="AA34" s="11"/>
      <c r="AB34" s="11"/>
      <c r="AC34" s="11"/>
      <c r="AD34" s="11"/>
      <c r="AE34" s="11"/>
      <c r="AF34" s="11"/>
      <c r="AG34" s="11"/>
      <c r="AH34" s="10">
        <f>-Dia/2*SIN(Tpri+Rpri)-Foc+Hfoy</f>
        <v>-1052.9864759367135</v>
      </c>
      <c r="AI34" s="11"/>
      <c r="AJ34" s="11"/>
      <c r="AN34" t="s">
        <v>85</v>
      </c>
    </row>
    <row r="35" spans="3:36" ht="12.75">
      <c r="C35" t="s">
        <v>90</v>
      </c>
      <c r="E35" s="27">
        <f>(-TAN(Tpri)*(Foc-Hfoy))/(1-TAN(Tpri)*TAN(Tsec+Rsec))</f>
        <v>0</v>
      </c>
      <c r="F35" s="27">
        <f>-E35*TAN(Tsec+Rsec)</f>
        <v>0</v>
      </c>
      <c r="G35" s="26">
        <f>Tpri+2*(Tsec+Rsec)-PI()/2</f>
        <v>-0.06187296918075025</v>
      </c>
      <c r="H35" s="20">
        <f>SQRT((Foc-Hfoy+F35)^2+E35^2)</f>
        <v>1050</v>
      </c>
      <c r="Z35" s="9">
        <f>-Z34</f>
        <v>124.96431875331227</v>
      </c>
      <c r="AA35" s="11"/>
      <c r="AB35" s="11"/>
      <c r="AC35" s="11"/>
      <c r="AD35" s="11"/>
      <c r="AE35" s="11"/>
      <c r="AF35" s="11"/>
      <c r="AG35" s="11"/>
      <c r="AH35" s="13">
        <f>Dia/2*SIN(Tpri+Rpri)-Foc+Hfoy</f>
        <v>-1047.0135240632865</v>
      </c>
      <c r="AI35" s="11"/>
      <c r="AJ35" s="11"/>
    </row>
    <row r="36" spans="3:40" ht="12.75">
      <c r="C36" t="s">
        <v>92</v>
      </c>
      <c r="E36" s="27">
        <f>-COS(G35)*(Foc-H35)+E35</f>
        <v>-199.61729568295587</v>
      </c>
      <c r="F36" s="27">
        <f>SIN(G35)*(Foc-H35)+F35</f>
        <v>-12.36669981132248</v>
      </c>
      <c r="G36" s="22" t="s">
        <v>10</v>
      </c>
      <c r="H36" s="24"/>
      <c r="Z36" s="9">
        <f>E22</f>
        <v>-200</v>
      </c>
      <c r="AA36" s="11"/>
      <c r="AB36" s="11"/>
      <c r="AC36" s="11"/>
      <c r="AD36" s="11"/>
      <c r="AE36" s="11"/>
      <c r="AF36" s="11"/>
      <c r="AG36" s="11"/>
      <c r="AH36" s="11"/>
      <c r="AI36" s="10">
        <f>F22</f>
        <v>5</v>
      </c>
      <c r="AJ36" s="11"/>
      <c r="AN36" t="s">
        <v>81</v>
      </c>
    </row>
    <row r="37" spans="2:36" ht="12.75">
      <c r="B37" s="2" t="s">
        <v>29</v>
      </c>
      <c r="E37" s="23"/>
      <c r="F37" s="29" t="s">
        <v>14</v>
      </c>
      <c r="G37" s="32">
        <f>I37*PI()/180</f>
        <v>0.023894081058577966</v>
      </c>
      <c r="H37" s="24"/>
      <c r="I37" s="17">
        <v>1.36903</v>
      </c>
      <c r="J37" t="s">
        <v>59</v>
      </c>
      <c r="Z37" s="9">
        <f>E38</f>
        <v>-13.265777943708933</v>
      </c>
      <c r="AA37" s="11"/>
      <c r="AB37" s="11"/>
      <c r="AC37" s="11"/>
      <c r="AD37" s="11"/>
      <c r="AE37" s="11"/>
      <c r="AF37" s="11"/>
      <c r="AG37" s="11"/>
      <c r="AH37" s="11"/>
      <c r="AI37" s="12">
        <f>F38</f>
        <v>12.469368882251642</v>
      </c>
      <c r="AJ37" s="11"/>
    </row>
    <row r="38" spans="3:40" ht="12.75">
      <c r="C38" t="s">
        <v>33</v>
      </c>
      <c r="E38" s="20">
        <f>(E22*TAN(Tlas)-F22)/(TAN(Tsec+Rsec)+TAN(Tlas))</f>
        <v>-13.265777943708933</v>
      </c>
      <c r="F38" s="20">
        <f>-E38*TAN(Tsec+Rsec)</f>
        <v>12.469368882251642</v>
      </c>
      <c r="G38" s="26">
        <f>Tlas+2*(Tsec+Rsec-PI()/4)</f>
        <v>-0.021894282057460204</v>
      </c>
      <c r="H38" s="24"/>
      <c r="Z38" s="9">
        <f>E39</f>
        <v>9.994713260875079</v>
      </c>
      <c r="AA38" s="11"/>
      <c r="AB38" s="11"/>
      <c r="AC38" s="11"/>
      <c r="AD38" s="11"/>
      <c r="AE38" s="11"/>
      <c r="AF38" s="11"/>
      <c r="AG38" s="11"/>
      <c r="AH38" s="11"/>
      <c r="AI38" s="12">
        <f>F39-Foc+Hfoy</f>
        <v>-1049.7611400522505</v>
      </c>
      <c r="AJ38" s="11"/>
      <c r="AN38" t="s">
        <v>83</v>
      </c>
    </row>
    <row r="39" spans="3:36" ht="12.75">
      <c r="C39" t="s">
        <v>34</v>
      </c>
      <c r="E39" s="20">
        <f>(E38-TAN(G38)*(Foc-Hfoy+F38))/(1-TAN(Tpri+Rpri)*TAN(G38))</f>
        <v>9.994713260875079</v>
      </c>
      <c r="F39" s="27">
        <f>E39*TAN(Tpri+Rpri)</f>
        <v>0.23885994774939603</v>
      </c>
      <c r="G39" s="26">
        <f>G38+2*(Tpri+Rpri)</f>
        <v>0.02589388005969573</v>
      </c>
      <c r="H39" s="24"/>
      <c r="Z39" s="9">
        <f>E40</f>
        <v>-17.62277531455153</v>
      </c>
      <c r="AA39" s="11"/>
      <c r="AB39" s="11"/>
      <c r="AC39" s="11"/>
      <c r="AD39" s="11"/>
      <c r="AE39" s="11"/>
      <c r="AF39" s="11"/>
      <c r="AG39" s="11"/>
      <c r="AH39" s="11"/>
      <c r="AI39" s="12">
        <f>F40</f>
        <v>16.56479454568222</v>
      </c>
      <c r="AJ39" s="11"/>
    </row>
    <row r="40" spans="3:40" ht="12.75">
      <c r="C40" t="s">
        <v>91</v>
      </c>
      <c r="E40" s="20">
        <f>(E39-TAN(G39)*(Foc-Hfoy-F39))/(1-TAN(G39)*TAN(Tsec+Rsec))</f>
        <v>-17.62277531455153</v>
      </c>
      <c r="F40" s="20">
        <f>-E40*TAN(Tsec+Rsec)</f>
        <v>16.56479454568222</v>
      </c>
      <c r="G40" s="26">
        <f>G39+2*(Tsec+Rsec)-PI()/2</f>
        <v>-0.03597908912105452</v>
      </c>
      <c r="H40" s="24"/>
      <c r="Z40" s="9">
        <f>Z36</f>
        <v>-200</v>
      </c>
      <c r="AA40" s="11"/>
      <c r="AB40" s="11"/>
      <c r="AC40" s="11"/>
      <c r="AD40" s="11"/>
      <c r="AE40" s="11"/>
      <c r="AF40" s="11"/>
      <c r="AG40" s="11"/>
      <c r="AH40" s="11"/>
      <c r="AI40" s="13">
        <f>F41</f>
        <v>10.000195267262063</v>
      </c>
      <c r="AJ40" s="11"/>
      <c r="AN40" t="s">
        <v>84</v>
      </c>
    </row>
    <row r="41" spans="3:36" ht="12.75">
      <c r="C41" t="s">
        <v>93</v>
      </c>
      <c r="E41" s="28">
        <f>E22</f>
        <v>-200</v>
      </c>
      <c r="F41" s="33">
        <f>F40+(Hfoy+E40)*TAN(G40)</f>
        <v>10.000195267262063</v>
      </c>
      <c r="G41" s="22" t="s">
        <v>10</v>
      </c>
      <c r="H41" s="24"/>
      <c r="Z41" s="9">
        <f>-Foc*TAN(Tpri+Rpri)</f>
        <v>-29.873286696031094</v>
      </c>
      <c r="AA41" s="11"/>
      <c r="AB41" s="11"/>
      <c r="AC41" s="11"/>
      <c r="AD41" s="11"/>
      <c r="AE41" s="11"/>
      <c r="AF41" s="11"/>
      <c r="AG41" s="11"/>
      <c r="AH41" s="11"/>
      <c r="AI41" s="11"/>
      <c r="AJ41" s="10">
        <f>Hfoy</f>
        <v>200</v>
      </c>
    </row>
    <row r="42" spans="3:36" ht="12.75">
      <c r="C42" t="s">
        <v>90</v>
      </c>
      <c r="E42" s="27">
        <f>(-TAN(Tpri+Rpri)*(Foc-Hfoy))/(1-TAN(Tpri+Rpri)*TAN(Tsec+Rsec))</f>
        <v>-25.670213381646416</v>
      </c>
      <c r="F42" s="27">
        <f>-E42*TAN(Tsec+Rsec)</f>
        <v>24.129105831570122</v>
      </c>
      <c r="G42" s="26">
        <f>Tpri+Rpri+2*(Tsec+Rsec)-PI()/2</f>
        <v>-0.037978888122172316</v>
      </c>
      <c r="H42" s="20">
        <f>SQRT((Foc-Hfoy+F42)^2+E42^2)</f>
        <v>1074.4358035032096</v>
      </c>
      <c r="Z42" s="9">
        <v>0</v>
      </c>
      <c r="AA42" s="11"/>
      <c r="AB42" s="11"/>
      <c r="AC42" s="11"/>
      <c r="AD42" s="11"/>
      <c r="AE42" s="11"/>
      <c r="AF42" s="11"/>
      <c r="AG42" s="11"/>
      <c r="AH42" s="11"/>
      <c r="AI42" s="11"/>
      <c r="AJ42" s="12">
        <f>-Foc+Hfoy</f>
        <v>-1050</v>
      </c>
    </row>
    <row r="43" spans="3:36" ht="12.75">
      <c r="C43" t="s">
        <v>92</v>
      </c>
      <c r="E43" s="27">
        <f>-COS(G42)*(Foc-H42)+E42</f>
        <v>-201.10780855458944</v>
      </c>
      <c r="F43" s="33">
        <f>SIN(G42)*(Foc-H42)+F42</f>
        <v>17.462975657460426</v>
      </c>
      <c r="G43" s="22" t="s">
        <v>10</v>
      </c>
      <c r="H43" s="24"/>
      <c r="Z43" s="9">
        <f>E42</f>
        <v>-25.670213381646416</v>
      </c>
      <c r="AA43" s="11"/>
      <c r="AB43" s="11"/>
      <c r="AC43" s="11"/>
      <c r="AD43" s="11"/>
      <c r="AE43" s="11"/>
      <c r="AF43" s="11"/>
      <c r="AG43" s="11"/>
      <c r="AH43" s="11"/>
      <c r="AI43" s="11"/>
      <c r="AJ43" s="12">
        <f>F42</f>
        <v>24.129105831570122</v>
      </c>
    </row>
    <row r="44" spans="5:36" ht="12.75">
      <c r="E44" s="23"/>
      <c r="F44" s="23"/>
      <c r="G44" s="23"/>
      <c r="H44" s="23"/>
      <c r="Z44" s="9">
        <f>E43</f>
        <v>-201.10780855458944</v>
      </c>
      <c r="AA44" s="11"/>
      <c r="AB44" s="11"/>
      <c r="AC44" s="11"/>
      <c r="AD44" s="11"/>
      <c r="AE44" s="11"/>
      <c r="AF44" s="11"/>
      <c r="AG44" s="11"/>
      <c r="AH44" s="11"/>
      <c r="AI44" s="11"/>
      <c r="AJ44" s="13">
        <f>F43</f>
        <v>17.462975657460426</v>
      </c>
    </row>
    <row r="45" ht="12.75">
      <c r="A45" s="2" t="s">
        <v>56</v>
      </c>
    </row>
    <row r="46" spans="3:7" ht="12.75">
      <c r="C46" t="s">
        <v>60</v>
      </c>
      <c r="F46">
        <f>I22</f>
        <v>50</v>
      </c>
      <c r="G46" t="s">
        <v>50</v>
      </c>
    </row>
    <row r="47" spans="3:7" ht="12.75">
      <c r="C47" t="s">
        <v>44</v>
      </c>
      <c r="F47" s="5">
        <f>F22</f>
        <v>5</v>
      </c>
      <c r="G47" t="s">
        <v>51</v>
      </c>
    </row>
    <row r="48" spans="3:7" ht="12.75">
      <c r="C48" t="s">
        <v>45</v>
      </c>
      <c r="F48" s="5">
        <f>E32</f>
        <v>9.999943763733942</v>
      </c>
      <c r="G48" t="s">
        <v>95</v>
      </c>
    </row>
    <row r="49" spans="3:7" ht="12.75">
      <c r="C49" t="s">
        <v>58</v>
      </c>
      <c r="F49" s="4">
        <f>I30</f>
        <v>-1.77253</v>
      </c>
      <c r="G49" t="s">
        <v>62</v>
      </c>
    </row>
    <row r="50" spans="3:7" ht="12.75">
      <c r="C50" t="s">
        <v>46</v>
      </c>
      <c r="F50" s="5">
        <f>F41-F47</f>
        <v>5.000195267262063</v>
      </c>
      <c r="G50" t="s">
        <v>52</v>
      </c>
    </row>
    <row r="51" spans="3:7" ht="12.75">
      <c r="C51" t="s">
        <v>58</v>
      </c>
      <c r="F51" s="4">
        <f>I37</f>
        <v>1.36903</v>
      </c>
      <c r="G51" t="s">
        <v>61</v>
      </c>
    </row>
    <row r="53" spans="3:7" ht="12.75">
      <c r="C53" t="s">
        <v>47</v>
      </c>
      <c r="F53" s="5">
        <f>F43</f>
        <v>17.462975657460426</v>
      </c>
      <c r="G53" t="s">
        <v>48</v>
      </c>
    </row>
    <row r="54" spans="3:7" ht="12.75">
      <c r="C54" t="s">
        <v>53</v>
      </c>
      <c r="F54" s="4">
        <f>-180/PI()*G42</f>
        <v>2.176030000000006</v>
      </c>
      <c r="G54" t="s">
        <v>49</v>
      </c>
    </row>
    <row r="55" spans="3:7" ht="12.75">
      <c r="C55" t="s">
        <v>54</v>
      </c>
      <c r="F55" s="5">
        <f>E43+Hfoy</f>
        <v>-1.1078085545894396</v>
      </c>
      <c r="G55" t="s">
        <v>55</v>
      </c>
    </row>
  </sheetData>
  <printOptions/>
  <pageMargins left="0.7874015748031497" right="0.3937007874015748" top="0.98425196850393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Simulation des erreurs d'alignement</dc:title>
  <dc:subject>Collimation au Laser</dc:subject>
  <dc:creator>Pierre STROCK</dc:creator>
  <cp:keywords/>
  <dc:description/>
  <cp:lastModifiedBy>Pierre STROCK</cp:lastModifiedBy>
  <cp:lastPrinted>2007-08-30T16:24:28Z</cp:lastPrinted>
  <dcterms:created xsi:type="dcterms:W3CDTF">2007-08-30T16:25:00Z</dcterms:created>
  <dcterms:modified xsi:type="dcterms:W3CDTF">2007-08-30T16:25:15Z</dcterms:modified>
  <cp:category/>
  <cp:version/>
  <cp:contentType/>
  <cp:contentStatus/>
</cp:coreProperties>
</file>